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/>
  <bookViews>
    <workbookView xWindow="-60" yWindow="-15" windowWidth="12120" windowHeight="7320"/>
  </bookViews>
  <sheets>
    <sheet name="FO.068" sheetId="1" r:id="rId1"/>
    <sheet name="Hoja1" sheetId="2" r:id="rId2"/>
  </sheets>
  <definedNames>
    <definedName name="_xlnm.Print_Area" localSheetId="0">FO.068!$A$1:$G$54</definedName>
  </definedNames>
  <calcPr calcId="145621"/>
</workbook>
</file>

<file path=xl/calcChain.xml><?xml version="1.0" encoding="utf-8"?>
<calcChain xmlns="http://schemas.openxmlformats.org/spreadsheetml/2006/main">
  <c r="G24" i="1" l="1"/>
  <c r="G25" i="1"/>
  <c r="G26" i="1"/>
  <c r="G27" i="1"/>
  <c r="N30" i="1"/>
  <c r="N32" i="1" s="1"/>
  <c r="N29" i="1"/>
  <c r="N31" i="1"/>
  <c r="F34" i="1"/>
  <c r="F33" i="1"/>
  <c r="J29" i="1"/>
  <c r="J31" i="1"/>
  <c r="J33" i="1" s="1"/>
  <c r="J35" i="1" s="1"/>
  <c r="E34" i="1"/>
  <c r="D34" i="1"/>
  <c r="C34" i="1"/>
  <c r="B34" i="1"/>
  <c r="E33" i="1"/>
  <c r="D33" i="1"/>
  <c r="C33" i="1"/>
  <c r="O4" i="1"/>
  <c r="B33" i="1"/>
  <c r="L4" i="1"/>
  <c r="J30" i="1"/>
  <c r="J32" i="1" s="1"/>
  <c r="K30" i="1"/>
  <c r="K32" i="1"/>
  <c r="C37" i="1" s="1"/>
  <c r="B43" i="1"/>
  <c r="B44" i="1"/>
  <c r="B45" i="1"/>
  <c r="B41" i="1"/>
  <c r="M30" i="1"/>
  <c r="M32" i="1"/>
  <c r="E37" i="1" s="1"/>
  <c r="M29" i="1"/>
  <c r="M31" i="1" s="1"/>
  <c r="M33" i="1" s="1"/>
  <c r="M35" i="1" s="1"/>
  <c r="F43" i="1"/>
  <c r="F44" i="1"/>
  <c r="F45" i="1"/>
  <c r="G38" i="1"/>
  <c r="G35" i="1"/>
  <c r="G34" i="1"/>
  <c r="G33" i="1"/>
  <c r="G32" i="1"/>
  <c r="G31" i="1"/>
  <c r="G30" i="1"/>
  <c r="L30" i="1"/>
  <c r="L32" i="1" s="1"/>
  <c r="L29" i="1"/>
  <c r="L31" i="1"/>
  <c r="K29" i="1"/>
  <c r="K31" i="1"/>
  <c r="G36" i="1"/>
  <c r="K34" i="1"/>
  <c r="K36" i="1" s="1"/>
  <c r="K33" i="1"/>
  <c r="K35" i="1"/>
  <c r="K41" i="1" s="1"/>
  <c r="C43" i="1"/>
  <c r="C44" i="1"/>
  <c r="C45" i="1"/>
  <c r="L33" i="1"/>
  <c r="L35" i="1"/>
  <c r="D43" i="1"/>
  <c r="D44" i="1"/>
  <c r="D45" i="1"/>
  <c r="M34" i="1"/>
  <c r="M36" i="1" s="1"/>
  <c r="E43" i="1"/>
  <c r="E44" i="1"/>
  <c r="E45" i="1"/>
  <c r="N33" i="1"/>
  <c r="N35" i="1"/>
  <c r="C41" i="1"/>
  <c r="C42" i="1"/>
  <c r="D41" i="1"/>
  <c r="D42" i="1"/>
  <c r="E41" i="1"/>
  <c r="E42" i="1"/>
  <c r="F41" i="1"/>
  <c r="F42" i="1"/>
  <c r="B42" i="1"/>
  <c r="G45" i="1"/>
  <c r="G44" i="1"/>
  <c r="G43" i="1"/>
  <c r="G42" i="1"/>
  <c r="G41" i="1"/>
  <c r="K37" i="1" l="1"/>
  <c r="K38" i="1" s="1"/>
  <c r="K42" i="1" s="1"/>
  <c r="D37" i="1"/>
  <c r="L34" i="1"/>
  <c r="L36" i="1" s="1"/>
  <c r="B37" i="1"/>
  <c r="G37" i="1" s="1"/>
  <c r="J34" i="1"/>
  <c r="J36" i="1" s="1"/>
  <c r="M37" i="1"/>
  <c r="M38" i="1"/>
  <c r="L41" i="1"/>
  <c r="M41" i="1"/>
  <c r="J41" i="1"/>
  <c r="F37" i="1"/>
  <c r="N34" i="1"/>
  <c r="N36" i="1" s="1"/>
  <c r="N37" i="1" l="1"/>
  <c r="M40" i="1"/>
  <c r="J37" i="1"/>
  <c r="J38" i="1"/>
  <c r="J42" i="1" s="1"/>
  <c r="L37" i="1"/>
  <c r="L38" i="1"/>
  <c r="L42" i="1" s="1"/>
  <c r="M42" i="1"/>
  <c r="N41" i="1"/>
  <c r="K40" i="1"/>
  <c r="M43" i="1" l="1"/>
  <c r="M44" i="1" s="1"/>
  <c r="L40" i="1"/>
  <c r="J40" i="1"/>
  <c r="N38" i="1"/>
  <c r="N42" i="1" s="1"/>
  <c r="K43" i="1"/>
  <c r="K44" i="1" s="1"/>
  <c r="N40" i="1" l="1"/>
  <c r="J43" i="1"/>
  <c r="J44" i="1" s="1"/>
  <c r="N43" i="1"/>
  <c r="L43" i="1"/>
  <c r="L44" i="1" s="1"/>
  <c r="N44" i="1" l="1"/>
</calcChain>
</file>

<file path=xl/sharedStrings.xml><?xml version="1.0" encoding="utf-8"?>
<sst xmlns="http://schemas.openxmlformats.org/spreadsheetml/2006/main" count="117" uniqueCount="103">
  <si>
    <t>DATOS DEL MEDIDOR:</t>
  </si>
  <si>
    <t>MODELO:</t>
  </si>
  <si>
    <t>Nº SERIE:</t>
  </si>
  <si>
    <t>DATOS DE PRUEBA:</t>
  </si>
  <si>
    <t>Nº 1</t>
  </si>
  <si>
    <t>Nº 2</t>
  </si>
  <si>
    <t>Nº 3</t>
  </si>
  <si>
    <t>Nº 4</t>
  </si>
  <si>
    <t>Nº 5</t>
  </si>
  <si>
    <t>PROMEDIO</t>
  </si>
  <si>
    <t>Nº SERIE</t>
  </si>
  <si>
    <t>Tamaño</t>
  </si>
  <si>
    <t>ts</t>
  </si>
  <si>
    <t>B</t>
  </si>
  <si>
    <t>D</t>
  </si>
  <si>
    <t>N-02031</t>
  </si>
  <si>
    <t>Tiempo STD (ts) (sec/cf)</t>
  </si>
  <si>
    <t>N-01974</t>
  </si>
  <si>
    <t>Lectura inicial medidor</t>
  </si>
  <si>
    <t>N-03119</t>
  </si>
  <si>
    <t>F</t>
  </si>
  <si>
    <t>Lectura final medidor</t>
  </si>
  <si>
    <t>N-01956</t>
  </si>
  <si>
    <t>H</t>
  </si>
  <si>
    <t>Tiempo de prueba (t) (lect. cronom.)</t>
  </si>
  <si>
    <t>N-03078</t>
  </si>
  <si>
    <t>J</t>
  </si>
  <si>
    <t>Temperatura medidor (Tm) (°F)</t>
  </si>
  <si>
    <t>Temperatura tobera (Tn) (°F)</t>
  </si>
  <si>
    <t>Presión medidor (Pm) (Psia)</t>
  </si>
  <si>
    <t>Presión tobera (Pn) (Psia)</t>
  </si>
  <si>
    <t>Caida de presión (Psia)</t>
  </si>
  <si>
    <t>DATOS PARA CALCULO:</t>
  </si>
  <si>
    <t>Presión atmosferica (Psia)</t>
  </si>
  <si>
    <t>Grav. especif. gas natural</t>
  </si>
  <si>
    <t>% N2</t>
  </si>
  <si>
    <t>% CO2</t>
  </si>
  <si>
    <t>CALCULO DE PARAMETROS:</t>
  </si>
  <si>
    <t>Kp</t>
  </si>
  <si>
    <t>Caudal (Qm) (PC)</t>
  </si>
  <si>
    <t>Kt</t>
  </si>
  <si>
    <t>Tiempo (t) (segundos)</t>
  </si>
  <si>
    <t>Fp</t>
  </si>
  <si>
    <t>N</t>
  </si>
  <si>
    <t>Ft</t>
  </si>
  <si>
    <t>Fpc</t>
  </si>
  <si>
    <t>Pc</t>
  </si>
  <si>
    <t>Ftc</t>
  </si>
  <si>
    <t>Tc</t>
  </si>
  <si>
    <t>Fr</t>
  </si>
  <si>
    <t>PI</t>
  </si>
  <si>
    <t>P ajustada</t>
  </si>
  <si>
    <t>TAU</t>
  </si>
  <si>
    <t>T ajustada</t>
  </si>
  <si>
    <t>m</t>
  </si>
  <si>
    <t>Fpv</t>
  </si>
  <si>
    <t>n</t>
  </si>
  <si>
    <t>RESULTADOS:</t>
  </si>
  <si>
    <t>% PRUEBA</t>
  </si>
  <si>
    <t>E2(Fpv)</t>
  </si>
  <si>
    <t>% EXACTITUD</t>
  </si>
  <si>
    <t>b</t>
  </si>
  <si>
    <t>TIEMPO CORREGIDO (tc)</t>
  </si>
  <si>
    <t>% ERROR</t>
  </si>
  <si>
    <t>FACTOR DE CALIBRACION</t>
  </si>
  <si>
    <t>FORMULAS UTILIZADAS:</t>
  </si>
  <si>
    <t>% PRUEBA =</t>
  </si>
  <si>
    <t>(100*t*Fr)/(ts*Qm*Fpv*Fpc*Ftc*N)</t>
  </si>
  <si>
    <t>% EXACTITUD =</t>
  </si>
  <si>
    <t>(100/% PRUEBA)*100</t>
  </si>
  <si>
    <t>TIEMPO CORREGIDO (tc) =</t>
  </si>
  <si>
    <t>(ts*Qm*Fpv*Fpc*Ftc*N)/Fr</t>
  </si>
  <si>
    <t>% ERROR =</t>
  </si>
  <si>
    <t>(tc-t)*100/t</t>
  </si>
  <si>
    <t>FACTOR DE CALIBRACION =</t>
  </si>
  <si>
    <t>(100-(%ERROR))/100</t>
  </si>
  <si>
    <t>Método de cálculo de acuerdo a normas Internacionales: AGA NX-19, AIM-211.2 Seccion III y otras.</t>
  </si>
  <si>
    <t>FROMULA PARA CALCULO DE T1-T2</t>
  </si>
  <si>
    <t>DATOS</t>
  </si>
  <si>
    <t>T1</t>
  </si>
  <si>
    <t>T2</t>
  </si>
  <si>
    <t>Ts</t>
  </si>
  <si>
    <t>CALCULO Fpc</t>
  </si>
  <si>
    <t>Pm</t>
  </si>
  <si>
    <t>Pn</t>
  </si>
  <si>
    <t>TIPO: B/M</t>
  </si>
  <si>
    <t>TAG</t>
  </si>
  <si>
    <t>USUARIO:</t>
  </si>
  <si>
    <t>LUGAR:</t>
  </si>
  <si>
    <t>UBICACIÓN:</t>
  </si>
  <si>
    <t>FECHA:</t>
  </si>
  <si>
    <t>CORRECTOR:</t>
  </si>
  <si>
    <t xml:space="preserve"> MARCA: _</t>
  </si>
  <si>
    <t>CAPACIDAD:_</t>
  </si>
  <si>
    <t>S/N:</t>
  </si>
  <si>
    <t>Tobera tipo</t>
  </si>
  <si>
    <t>PUE:</t>
  </si>
  <si>
    <t>FO.068 R4</t>
  </si>
  <si>
    <t>REGISTRO DE PRUEBAS DE FLUJO CRÍTICO EN MEDIDORES</t>
  </si>
  <si>
    <t>PERSONAL EJECUCIÓN</t>
  </si>
  <si>
    <t>SUPERVISIÓN  /  FISCALIZACIÓN  /  OPERACIONES</t>
  </si>
  <si>
    <t>[Nombre(s) / Cargo(s) / Empresa ]</t>
  </si>
  <si>
    <t>SUPERVISIÓN / FISCALIZACIÓN / OPERACIONES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</si>
</sst>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0.0000"/>
    <numFmt numFmtId="167" formatCode="[$-409]d\-mmm\-yyyy;@"/>
    <numFmt numFmtId="168" formatCode="_-* #,##0.00_-;\-* #,##0.00_-;_-* &quot;-&quot;??_-;_-@_-"/>
  </numFmts>
  <fonts count="15">
    <font>
      <sz val="10"/>
      <name val="Geneva"/>
    </font>
    <font>
      <b/>
      <sz val="10"/>
      <name val="Geneva"/>
    </font>
    <font>
      <sz val="10"/>
      <name val="Geneva"/>
    </font>
    <font>
      <b/>
      <i/>
      <sz val="9"/>
      <name val="Helv"/>
    </font>
    <font>
      <sz val="9"/>
      <name val="Helv"/>
    </font>
    <font>
      <b/>
      <sz val="9"/>
      <name val="Helv"/>
    </font>
    <font>
      <sz val="7"/>
      <name val="Helv"/>
    </font>
    <font>
      <sz val="9"/>
      <name val="Geneva"/>
    </font>
    <font>
      <b/>
      <sz val="10"/>
      <name val="Helv"/>
    </font>
    <font>
      <sz val="9"/>
      <color theme="0" tint="-0.14999847407452621"/>
      <name val="Helv"/>
    </font>
    <font>
      <sz val="8"/>
      <name val="Helv"/>
    </font>
    <font>
      <b/>
      <sz val="10"/>
      <name val="Times New Roman"/>
      <family val="1"/>
    </font>
    <font>
      <b/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8">
    <xf numFmtId="0" fontId="0" fillId="0" borderId="0" xfId="0"/>
    <xf numFmtId="0" fontId="4" fillId="0" borderId="0" xfId="0" applyFont="1"/>
    <xf numFmtId="0" fontId="5" fillId="0" borderId="1" xfId="0" applyFont="1" applyBorder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 applyBorder="1" applyAlignment="1">
      <alignment horizontal="left"/>
    </xf>
    <xf numFmtId="14" fontId="5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5" fillId="0" borderId="4" xfId="0" applyFont="1" applyBorder="1"/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left"/>
    </xf>
    <xf numFmtId="0" fontId="4" fillId="0" borderId="6" xfId="0" applyFont="1" applyBorder="1"/>
    <xf numFmtId="0" fontId="4" fillId="0" borderId="5" xfId="0" applyFont="1" applyBorder="1"/>
    <xf numFmtId="0" fontId="4" fillId="0" borderId="8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7" fillId="0" borderId="5" xfId="0" applyFont="1" applyBorder="1" applyAlignment="1" applyProtection="1">
      <alignment horizontal="left"/>
      <protection hidden="1"/>
    </xf>
    <xf numFmtId="166" fontId="7" fillId="0" borderId="7" xfId="0" applyNumberFormat="1" applyFont="1" applyBorder="1" applyProtection="1">
      <protection hidden="1"/>
    </xf>
    <xf numFmtId="0" fontId="7" fillId="0" borderId="8" xfId="0" applyFont="1" applyBorder="1" applyAlignment="1" applyProtection="1">
      <alignment horizontal="left"/>
      <protection hidden="1"/>
    </xf>
    <xf numFmtId="0" fontId="7" fillId="0" borderId="0" xfId="0" applyFont="1"/>
    <xf numFmtId="0" fontId="7" fillId="0" borderId="10" xfId="0" applyFont="1" applyBorder="1" applyAlignment="1" applyProtection="1">
      <alignment horizontal="left"/>
      <protection hidden="1"/>
    </xf>
    <xf numFmtId="166" fontId="7" fillId="0" borderId="9" xfId="0" applyNumberFormat="1" applyFont="1" applyBorder="1" applyProtection="1">
      <protection hidden="1"/>
    </xf>
    <xf numFmtId="2" fontId="7" fillId="0" borderId="9" xfId="0" applyNumberFormat="1" applyFont="1" applyBorder="1" applyProtection="1">
      <protection hidden="1"/>
    </xf>
    <xf numFmtId="0" fontId="7" fillId="0" borderId="9" xfId="0" applyFont="1" applyBorder="1" applyProtection="1">
      <protection hidden="1"/>
    </xf>
    <xf numFmtId="166" fontId="7" fillId="0" borderId="12" xfId="0" applyNumberFormat="1" applyFont="1" applyBorder="1" applyProtection="1">
      <protection hidden="1"/>
    </xf>
    <xf numFmtId="0" fontId="4" fillId="0" borderId="4" xfId="0" applyFont="1" applyBorder="1"/>
    <xf numFmtId="165" fontId="4" fillId="0" borderId="4" xfId="1" applyNumberFormat="1" applyFont="1" applyBorder="1"/>
    <xf numFmtId="0" fontId="4" fillId="0" borderId="1" xfId="0" applyFont="1" applyBorder="1"/>
    <xf numFmtId="0" fontId="4" fillId="0" borderId="13" xfId="0" applyFont="1" applyBorder="1"/>
    <xf numFmtId="0" fontId="4" fillId="0" borderId="10" xfId="0" applyFont="1" applyBorder="1"/>
    <xf numFmtId="0" fontId="4" fillId="0" borderId="17" xfId="0" applyFont="1" applyBorder="1"/>
    <xf numFmtId="165" fontId="4" fillId="0" borderId="18" xfId="1" applyNumberFormat="1" applyFont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0" xfId="0" applyFont="1" applyFill="1" applyBorder="1"/>
    <xf numFmtId="43" fontId="4" fillId="0" borderId="4" xfId="1" applyNumberFormat="1" applyFont="1" applyBorder="1"/>
    <xf numFmtId="166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NumberFormat="1" applyFont="1"/>
    <xf numFmtId="43" fontId="4" fillId="0" borderId="0" xfId="0" applyNumberFormat="1" applyFont="1"/>
    <xf numFmtId="167" fontId="0" fillId="0" borderId="0" xfId="0" applyNumberFormat="1" applyBorder="1" applyAlignment="1" applyProtection="1"/>
    <xf numFmtId="0" fontId="5" fillId="0" borderId="1" xfId="0" applyFont="1" applyBorder="1"/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0" fillId="0" borderId="2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4" fillId="2" borderId="2" xfId="0" applyFont="1" applyFill="1" applyBorder="1" applyAlignment="1" applyProtection="1"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165" fontId="4" fillId="0" borderId="4" xfId="1" applyNumberFormat="1" applyFont="1" applyBorder="1" applyProtection="1">
      <protection locked="0"/>
    </xf>
    <xf numFmtId="43" fontId="4" fillId="0" borderId="4" xfId="1" applyNumberFormat="1" applyFont="1" applyBorder="1" applyProtection="1">
      <protection locked="0"/>
    </xf>
    <xf numFmtId="0" fontId="4" fillId="0" borderId="4" xfId="0" applyFont="1" applyBorder="1" applyAlignment="1" applyProtection="1">
      <alignment horizontal="right"/>
      <protection locked="0"/>
    </xf>
    <xf numFmtId="43" fontId="4" fillId="0" borderId="4" xfId="1" applyFont="1" applyBorder="1" applyProtection="1">
      <protection locked="0"/>
    </xf>
    <xf numFmtId="43" fontId="4" fillId="0" borderId="3" xfId="1" applyFont="1" applyBorder="1" applyProtection="1">
      <protection locked="0"/>
    </xf>
    <xf numFmtId="164" fontId="4" fillId="0" borderId="3" xfId="1" applyNumberFormat="1" applyFont="1" applyBorder="1" applyProtection="1">
      <protection locked="0"/>
    </xf>
    <xf numFmtId="164" fontId="4" fillId="0" borderId="4" xfId="1" applyNumberFormat="1" applyFont="1" applyBorder="1" applyProtection="1">
      <protection locked="0"/>
    </xf>
    <xf numFmtId="43" fontId="4" fillId="0" borderId="14" xfId="1" applyFont="1" applyBorder="1" applyProtection="1">
      <protection locked="0"/>
    </xf>
    <xf numFmtId="43" fontId="4" fillId="0" borderId="15" xfId="1" applyFont="1" applyBorder="1" applyProtection="1">
      <protection locked="0"/>
    </xf>
    <xf numFmtId="164" fontId="4" fillId="0" borderId="18" xfId="1" applyNumberFormat="1" applyFont="1" applyBorder="1" applyProtection="1">
      <protection locked="0"/>
    </xf>
    <xf numFmtId="43" fontId="4" fillId="0" borderId="19" xfId="1" applyFont="1" applyBorder="1" applyProtection="1">
      <protection locked="0"/>
    </xf>
    <xf numFmtId="165" fontId="4" fillId="0" borderId="18" xfId="1" applyNumberFormat="1" applyFont="1" applyBorder="1" applyProtection="1">
      <protection locked="0"/>
    </xf>
    <xf numFmtId="165" fontId="4" fillId="0" borderId="19" xfId="1" applyNumberFormat="1" applyFont="1" applyBorder="1" applyProtection="1">
      <protection locked="0"/>
    </xf>
    <xf numFmtId="43" fontId="4" fillId="0" borderId="18" xfId="1" applyFont="1" applyBorder="1" applyProtection="1">
      <protection locked="0"/>
    </xf>
    <xf numFmtId="43" fontId="4" fillId="0" borderId="18" xfId="1" applyNumberFormat="1" applyFont="1" applyBorder="1" applyProtection="1">
      <protection locked="0"/>
    </xf>
    <xf numFmtId="165" fontId="4" fillId="0" borderId="16" xfId="1" applyNumberFormat="1" applyFont="1" applyBorder="1" applyProtection="1">
      <protection locked="0"/>
    </xf>
    <xf numFmtId="165" fontId="4" fillId="0" borderId="12" xfId="1" applyNumberFormat="1" applyFont="1" applyBorder="1" applyProtection="1">
      <protection locked="0"/>
    </xf>
    <xf numFmtId="43" fontId="4" fillId="0" borderId="14" xfId="1" applyNumberFormat="1" applyFont="1" applyBorder="1" applyProtection="1">
      <protection locked="0"/>
    </xf>
    <xf numFmtId="165" fontId="8" fillId="0" borderId="12" xfId="1" applyNumberFormat="1" applyFont="1" applyBorder="1" applyProtection="1">
      <protection locked="0"/>
    </xf>
    <xf numFmtId="0" fontId="5" fillId="0" borderId="4" xfId="0" applyFont="1" applyBorder="1" applyAlignment="1">
      <alignment horizontal="center"/>
    </xf>
    <xf numFmtId="0" fontId="14" fillId="0" borderId="30" xfId="0" applyFont="1" applyBorder="1" applyAlignment="1" applyProtection="1">
      <alignment wrapText="1"/>
      <protection locked="0"/>
    </xf>
    <xf numFmtId="0" fontId="4" fillId="0" borderId="33" xfId="0" applyFont="1" applyBorder="1"/>
    <xf numFmtId="0" fontId="4" fillId="0" borderId="34" xfId="0" applyFont="1" applyBorder="1"/>
    <xf numFmtId="0" fontId="14" fillId="0" borderId="33" xfId="0" applyFont="1" applyBorder="1" applyAlignment="1" applyProtection="1">
      <alignment wrapText="1"/>
      <protection locked="0"/>
    </xf>
    <xf numFmtId="0" fontId="14" fillId="0" borderId="35" xfId="0" applyFont="1" applyBorder="1" applyAlignment="1" applyProtection="1">
      <alignment horizontal="center" wrapText="1"/>
      <protection locked="0"/>
    </xf>
    <xf numFmtId="0" fontId="5" fillId="4" borderId="32" xfId="0" applyFont="1" applyFill="1" applyBorder="1" applyAlignment="1">
      <alignment horizontal="center" vertical="center"/>
    </xf>
    <xf numFmtId="0" fontId="4" fillId="0" borderId="28" xfId="0" applyFont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Continuous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Continuous"/>
    </xf>
    <xf numFmtId="0" fontId="9" fillId="0" borderId="10" xfId="0" applyFont="1" applyBorder="1" applyAlignment="1" applyProtection="1">
      <alignment horizontal="center"/>
      <protection locked="0"/>
    </xf>
    <xf numFmtId="0" fontId="9" fillId="0" borderId="11" xfId="0" applyFont="1" applyBorder="1" applyAlignment="1" applyProtection="1">
      <alignment horizontal="center"/>
      <protection locked="0"/>
    </xf>
    <xf numFmtId="0" fontId="9" fillId="0" borderId="12" xfId="0" applyFont="1" applyBorder="1" applyAlignment="1" applyProtection="1">
      <alignment horizontal="center"/>
      <protection locked="0"/>
    </xf>
    <xf numFmtId="0" fontId="14" fillId="0" borderId="29" xfId="0" applyFont="1" applyBorder="1" applyAlignment="1" applyProtection="1">
      <alignment horizontal="center" wrapText="1"/>
      <protection locked="0"/>
    </xf>
    <xf numFmtId="0" fontId="14" fillId="0" borderId="31" xfId="0" applyFont="1" applyBorder="1" applyAlignment="1" applyProtection="1">
      <alignment horizontal="center" wrapText="1"/>
      <protection locked="0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4" fillId="0" borderId="4" xfId="0" applyFont="1" applyBorder="1" applyAlignment="1" applyProtection="1">
      <alignment horizontal="left"/>
      <protection locked="0"/>
    </xf>
    <xf numFmtId="15" fontId="4" fillId="0" borderId="1" xfId="0" applyNumberFormat="1" applyFont="1" applyBorder="1" applyAlignment="1" applyProtection="1">
      <alignment horizontal="left"/>
      <protection locked="0"/>
    </xf>
    <xf numFmtId="15" fontId="4" fillId="0" borderId="2" xfId="0" applyNumberFormat="1" applyFont="1" applyBorder="1" applyAlignment="1" applyProtection="1">
      <alignment horizontal="left"/>
      <protection locked="0"/>
    </xf>
    <xf numFmtId="15" fontId="4" fillId="0" borderId="3" xfId="0" applyNumberFormat="1" applyFont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4" fillId="2" borderId="4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168" fontId="13" fillId="2" borderId="28" xfId="0" applyNumberFormat="1" applyFont="1" applyFill="1" applyBorder="1" applyAlignment="1" applyProtection="1">
      <alignment horizontal="center"/>
    </xf>
    <xf numFmtId="0" fontId="14" fillId="0" borderId="30" xfId="0" applyFont="1" applyBorder="1" applyAlignment="1" applyProtection="1">
      <alignment horizontal="center" wrapText="1"/>
      <protection locked="0"/>
    </xf>
    <xf numFmtId="168" fontId="12" fillId="3" borderId="24" xfId="0" applyNumberFormat="1" applyFont="1" applyFill="1" applyBorder="1" applyAlignment="1" applyProtection="1">
      <alignment horizontal="center" vertical="center"/>
    </xf>
    <xf numFmtId="168" fontId="12" fillId="3" borderId="25" xfId="0" applyNumberFormat="1" applyFont="1" applyFill="1" applyBorder="1" applyAlignment="1" applyProtection="1">
      <alignment horizontal="center" vertical="center"/>
    </xf>
    <xf numFmtId="168" fontId="12" fillId="3" borderId="26" xfId="0" applyNumberFormat="1" applyFont="1" applyFill="1" applyBorder="1" applyAlignment="1" applyProtection="1">
      <alignment horizontal="center" vertical="center"/>
    </xf>
    <xf numFmtId="168" fontId="12" fillId="2" borderId="27" xfId="0" applyNumberFormat="1" applyFont="1" applyFill="1" applyBorder="1" applyAlignment="1" applyProtection="1">
      <alignment horizontal="center" vertical="center"/>
    </xf>
    <xf numFmtId="168" fontId="12" fillId="2" borderId="28" xfId="0" applyNumberFormat="1" applyFont="1" applyFill="1" applyBorder="1" applyAlignment="1" applyProtection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116563</xdr:rowOff>
    </xdr:from>
    <xdr:to>
      <xdr:col>0</xdr:col>
      <xdr:colOff>1523999</xdr:colOff>
      <xdr:row>3</xdr:row>
      <xdr:rowOff>179427</xdr:rowOff>
    </xdr:to>
    <xdr:pic>
      <xdr:nvPicPr>
        <xdr:cNvPr id="1026" name="Picture 2" descr="Dibuj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14300" y="116563"/>
          <a:ext cx="1409699" cy="6343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3"/>
  <sheetViews>
    <sheetView tabSelected="1" zoomScaleNormal="100" workbookViewId="0">
      <selection activeCell="G73" sqref="G73"/>
    </sheetView>
  </sheetViews>
  <sheetFormatPr baseColWidth="10" defaultColWidth="11.42578125" defaultRowHeight="10.5"/>
  <cols>
    <col min="1" max="1" width="25" style="1" customWidth="1"/>
    <col min="2" max="6" width="12.7109375" style="1" customWidth="1"/>
    <col min="7" max="8" width="11.42578125" style="1" customWidth="1"/>
    <col min="9" max="9" width="5.85546875" style="1" hidden="1" customWidth="1"/>
    <col min="10" max="21" width="11.42578125" style="1" hidden="1" customWidth="1"/>
    <col min="22" max="16384" width="11.42578125" style="1"/>
  </cols>
  <sheetData>
    <row r="1" spans="1:24" ht="15" customHeight="1">
      <c r="A1" s="105"/>
      <c r="B1" s="103" t="s">
        <v>98</v>
      </c>
      <c r="C1" s="104"/>
      <c r="D1" s="104"/>
      <c r="E1" s="104"/>
      <c r="F1" s="104"/>
      <c r="G1" s="104"/>
      <c r="H1" s="51"/>
      <c r="K1" s="1" t="s">
        <v>77</v>
      </c>
      <c r="O1" s="1" t="s">
        <v>82</v>
      </c>
    </row>
    <row r="2" spans="1:24" ht="15" customHeight="1">
      <c r="A2" s="106"/>
      <c r="B2" s="54" t="s">
        <v>87</v>
      </c>
      <c r="C2" s="108"/>
      <c r="D2" s="108"/>
      <c r="E2" s="108"/>
      <c r="F2" s="108"/>
      <c r="G2" s="108"/>
      <c r="H2" s="52"/>
      <c r="L2" s="1" t="s">
        <v>79</v>
      </c>
      <c r="M2" s="1" t="s">
        <v>80</v>
      </c>
      <c r="O2" s="1" t="s">
        <v>83</v>
      </c>
      <c r="P2" s="1" t="s">
        <v>84</v>
      </c>
    </row>
    <row r="3" spans="1:24" ht="15" customHeight="1">
      <c r="A3" s="106"/>
      <c r="B3" s="54" t="s">
        <v>88</v>
      </c>
      <c r="C3" s="108"/>
      <c r="D3" s="108"/>
      <c r="E3" s="108"/>
      <c r="F3" s="108"/>
      <c r="G3" s="108"/>
      <c r="H3" s="52"/>
      <c r="K3" s="46" t="s">
        <v>78</v>
      </c>
      <c r="L3" s="1">
        <v>18.411899999999999</v>
      </c>
      <c r="M3" s="1">
        <v>18.393899999999999</v>
      </c>
      <c r="N3" s="46" t="s">
        <v>78</v>
      </c>
      <c r="O3" s="1">
        <v>138.35</v>
      </c>
      <c r="P3" s="47">
        <v>138</v>
      </c>
      <c r="U3" s="49">
        <v>40246</v>
      </c>
      <c r="V3" s="49"/>
      <c r="W3" s="49"/>
      <c r="X3" s="49"/>
    </row>
    <row r="4" spans="1:24" ht="15" customHeight="1">
      <c r="A4" s="106"/>
      <c r="B4" s="54" t="s">
        <v>89</v>
      </c>
      <c r="C4" s="108"/>
      <c r="D4" s="108"/>
      <c r="E4" s="108"/>
      <c r="F4" s="108"/>
      <c r="G4" s="108"/>
      <c r="H4" s="52"/>
      <c r="K4" s="46" t="s">
        <v>81</v>
      </c>
      <c r="L4" s="45">
        <f>(L3*M3)/(L3+M3)</f>
        <v>9.2014477992598973</v>
      </c>
      <c r="N4" s="46" t="s">
        <v>45</v>
      </c>
      <c r="O4" s="45">
        <f>1+((O3-P3)/P3)</f>
        <v>1.0025362318840578</v>
      </c>
      <c r="Q4" s="39">
        <v>1.0025362318840578</v>
      </c>
    </row>
    <row r="5" spans="1:24" ht="12.95" customHeight="1">
      <c r="A5" s="107"/>
      <c r="B5" s="55" t="s">
        <v>90</v>
      </c>
      <c r="C5" s="109"/>
      <c r="D5" s="110"/>
      <c r="E5" s="110"/>
      <c r="F5" s="111"/>
      <c r="G5" s="83" t="s">
        <v>97</v>
      </c>
      <c r="H5" s="53"/>
    </row>
    <row r="6" spans="1:24" s="8" customFormat="1" ht="9" customHeight="1">
      <c r="A6" s="4"/>
      <c r="B6" s="4"/>
      <c r="C6" s="5"/>
      <c r="D6" s="5"/>
      <c r="E6" s="5"/>
      <c r="F6" s="6"/>
      <c r="G6" s="7"/>
    </row>
    <row r="7" spans="1:24" ht="12.95" customHeight="1">
      <c r="A7" s="3" t="s">
        <v>0</v>
      </c>
      <c r="B7" s="61"/>
      <c r="C7" s="61"/>
      <c r="D7" s="61"/>
      <c r="E7" s="62"/>
      <c r="F7" s="115" t="s">
        <v>96</v>
      </c>
      <c r="G7" s="115"/>
    </row>
    <row r="8" spans="1:24" ht="12.95" customHeight="1">
      <c r="A8" s="3" t="s">
        <v>92</v>
      </c>
      <c r="B8" s="56" t="s">
        <v>85</v>
      </c>
      <c r="C8" s="11"/>
      <c r="D8" s="56" t="s">
        <v>1</v>
      </c>
      <c r="E8" s="10"/>
      <c r="F8" s="56" t="s">
        <v>2</v>
      </c>
      <c r="G8" s="11"/>
    </row>
    <row r="9" spans="1:24" ht="12.95" customHeight="1">
      <c r="A9" s="2" t="s">
        <v>93</v>
      </c>
      <c r="B9" s="57" t="s">
        <v>91</v>
      </c>
      <c r="C9" s="11"/>
      <c r="D9" s="58" t="s">
        <v>94</v>
      </c>
      <c r="E9" s="59"/>
      <c r="F9" s="56" t="s">
        <v>86</v>
      </c>
      <c r="G9" s="11"/>
    </row>
    <row r="10" spans="1:24" s="8" customFormat="1" ht="2.1" customHeight="1">
      <c r="A10" s="4"/>
      <c r="B10" s="5"/>
      <c r="C10" s="5"/>
      <c r="D10" s="5"/>
      <c r="E10" s="5"/>
      <c r="F10" s="5"/>
      <c r="G10" s="5"/>
    </row>
    <row r="11" spans="1:24" ht="12.95" customHeight="1">
      <c r="A11" s="9" t="s">
        <v>3</v>
      </c>
      <c r="B11" s="60" t="s">
        <v>4</v>
      </c>
      <c r="C11" s="60" t="s">
        <v>5</v>
      </c>
      <c r="D11" s="60" t="s">
        <v>6</v>
      </c>
      <c r="E11" s="60" t="s">
        <v>7</v>
      </c>
      <c r="F11" s="60" t="s">
        <v>8</v>
      </c>
      <c r="G11" s="12" t="s">
        <v>9</v>
      </c>
      <c r="J11" s="12" t="s">
        <v>10</v>
      </c>
      <c r="K11" s="12" t="s">
        <v>11</v>
      </c>
      <c r="L11" s="12" t="s">
        <v>12</v>
      </c>
    </row>
    <row r="12" spans="1:24" ht="12.95" customHeight="1">
      <c r="A12" s="35" t="s">
        <v>95</v>
      </c>
      <c r="B12" s="63"/>
      <c r="C12" s="63"/>
      <c r="D12" s="63"/>
      <c r="E12" s="63"/>
      <c r="F12" s="63"/>
      <c r="G12" s="116"/>
      <c r="J12" s="33" t="s">
        <v>15</v>
      </c>
      <c r="K12" s="12" t="s">
        <v>13</v>
      </c>
      <c r="L12" s="34">
        <v>18.651</v>
      </c>
    </row>
    <row r="13" spans="1:24" ht="12.95" customHeight="1">
      <c r="A13" s="35" t="s">
        <v>16</v>
      </c>
      <c r="B13" s="64"/>
      <c r="C13" s="64"/>
      <c r="D13" s="64"/>
      <c r="E13" s="64"/>
      <c r="F13" s="64"/>
      <c r="G13" s="117"/>
      <c r="J13" s="33" t="s">
        <v>17</v>
      </c>
      <c r="K13" s="12" t="s">
        <v>14</v>
      </c>
      <c r="L13" s="34">
        <v>4.5519999999999996</v>
      </c>
    </row>
    <row r="14" spans="1:24" ht="12.95" customHeight="1">
      <c r="A14" s="35" t="s">
        <v>18</v>
      </c>
      <c r="B14" s="65"/>
      <c r="C14" s="65"/>
      <c r="D14" s="65"/>
      <c r="E14" s="65"/>
      <c r="F14" s="65"/>
      <c r="G14" s="117"/>
      <c r="J14" s="33" t="s">
        <v>19</v>
      </c>
      <c r="K14" s="12" t="s">
        <v>20</v>
      </c>
      <c r="L14" s="34">
        <v>2.0449999999999999</v>
      </c>
      <c r="N14" s="44"/>
    </row>
    <row r="15" spans="1:24" ht="12.95" customHeight="1">
      <c r="A15" s="35" t="s">
        <v>21</v>
      </c>
      <c r="B15" s="65"/>
      <c r="C15" s="65"/>
      <c r="D15" s="65"/>
      <c r="E15" s="65"/>
      <c r="F15" s="65"/>
      <c r="G15" s="117"/>
      <c r="J15" s="33" t="s">
        <v>22</v>
      </c>
      <c r="K15" s="12" t="s">
        <v>23</v>
      </c>
      <c r="L15" s="34">
        <v>1.1388</v>
      </c>
    </row>
    <row r="16" spans="1:24" ht="12.95" customHeight="1">
      <c r="A16" s="35" t="s">
        <v>24</v>
      </c>
      <c r="B16" s="66"/>
      <c r="C16" s="66"/>
      <c r="D16" s="66"/>
      <c r="E16" s="66"/>
      <c r="F16" s="66"/>
      <c r="G16" s="117"/>
      <c r="J16" s="33" t="s">
        <v>25</v>
      </c>
      <c r="K16" s="12" t="s">
        <v>26</v>
      </c>
      <c r="L16" s="34">
        <v>0.73060000000000003</v>
      </c>
      <c r="N16" s="48"/>
    </row>
    <row r="17" spans="1:14" ht="12.95" customHeight="1">
      <c r="A17" s="35" t="s">
        <v>27</v>
      </c>
      <c r="B17" s="65"/>
      <c r="C17" s="65"/>
      <c r="D17" s="65"/>
      <c r="E17" s="65"/>
      <c r="F17" s="65"/>
      <c r="G17" s="117"/>
    </row>
    <row r="18" spans="1:14" ht="12.95" customHeight="1">
      <c r="A18" s="35" t="s">
        <v>28</v>
      </c>
      <c r="B18" s="65"/>
      <c r="C18" s="65"/>
      <c r="D18" s="65"/>
      <c r="E18" s="65"/>
      <c r="F18" s="65"/>
      <c r="G18" s="117"/>
    </row>
    <row r="19" spans="1:14" ht="12.95" customHeight="1">
      <c r="A19" s="35" t="s">
        <v>29</v>
      </c>
      <c r="B19" s="65"/>
      <c r="C19" s="65"/>
      <c r="D19" s="65"/>
      <c r="E19" s="65"/>
      <c r="F19" s="65"/>
      <c r="G19" s="117"/>
    </row>
    <row r="20" spans="1:14" ht="12.95" customHeight="1">
      <c r="A20" s="35" t="s">
        <v>30</v>
      </c>
      <c r="B20" s="65"/>
      <c r="C20" s="65"/>
      <c r="D20" s="65"/>
      <c r="E20" s="65"/>
      <c r="F20" s="65"/>
      <c r="G20" s="117"/>
    </row>
    <row r="21" spans="1:14" ht="12.95" customHeight="1">
      <c r="A21" s="35" t="s">
        <v>31</v>
      </c>
      <c r="B21" s="65"/>
      <c r="C21" s="65"/>
      <c r="D21" s="65"/>
      <c r="E21" s="65"/>
      <c r="F21" s="65"/>
      <c r="G21" s="118"/>
    </row>
    <row r="22" spans="1:14" s="8" customFormat="1" ht="2.1" customHeight="1">
      <c r="G22" s="43"/>
    </row>
    <row r="23" spans="1:14" ht="12.95" customHeight="1">
      <c r="A23" s="50" t="s">
        <v>32</v>
      </c>
      <c r="B23" s="41"/>
      <c r="C23" s="41"/>
      <c r="D23" s="41"/>
      <c r="E23" s="41"/>
      <c r="F23" s="41"/>
      <c r="G23" s="42"/>
    </row>
    <row r="24" spans="1:14" ht="12.95" customHeight="1">
      <c r="A24" s="35" t="s">
        <v>33</v>
      </c>
      <c r="B24" s="67"/>
      <c r="C24" s="67"/>
      <c r="D24" s="67"/>
      <c r="E24" s="67"/>
      <c r="F24" s="67"/>
      <c r="G24" s="68" t="e">
        <f>AVERAGE(B24,C24,D24,E24,F24)</f>
        <v>#DIV/0!</v>
      </c>
    </row>
    <row r="25" spans="1:14" ht="12.95" customHeight="1">
      <c r="A25" s="35" t="s">
        <v>34</v>
      </c>
      <c r="B25" s="64"/>
      <c r="C25" s="64"/>
      <c r="D25" s="64"/>
      <c r="E25" s="64"/>
      <c r="F25" s="64"/>
      <c r="G25" s="69" t="e">
        <f>AVERAGE(B25,C25,D25,E25,F25)</f>
        <v>#DIV/0!</v>
      </c>
    </row>
    <row r="26" spans="1:14" ht="12.95" customHeight="1">
      <c r="A26" s="35" t="s">
        <v>35</v>
      </c>
      <c r="B26" s="70"/>
      <c r="C26" s="70"/>
      <c r="D26" s="70"/>
      <c r="E26" s="70"/>
      <c r="F26" s="70"/>
      <c r="G26" s="69" t="e">
        <f>AVERAGE(B26,C26,D26,E26,F26)</f>
        <v>#DIV/0!</v>
      </c>
    </row>
    <row r="27" spans="1:14" ht="12.95" customHeight="1">
      <c r="A27" s="35" t="s">
        <v>36</v>
      </c>
      <c r="B27" s="70"/>
      <c r="C27" s="70"/>
      <c r="D27" s="70"/>
      <c r="E27" s="70"/>
      <c r="F27" s="70"/>
      <c r="G27" s="69" t="e">
        <f>AVERAGE(B27,C27,D27,E27,F27)</f>
        <v>#DIV/0!</v>
      </c>
    </row>
    <row r="28" spans="1:14" s="8" customFormat="1" ht="2.1" customHeight="1"/>
    <row r="29" spans="1:14" ht="12.95" customHeight="1">
      <c r="A29" s="50" t="s">
        <v>37</v>
      </c>
      <c r="B29" s="41"/>
      <c r="C29" s="41"/>
      <c r="D29" s="41"/>
      <c r="E29" s="41"/>
      <c r="F29" s="41"/>
      <c r="G29" s="42"/>
      <c r="I29" s="24" t="s">
        <v>38</v>
      </c>
      <c r="J29" s="25">
        <f>ROUND((B27-0.392*B26),4)</f>
        <v>0</v>
      </c>
      <c r="K29" s="25">
        <f>ROUND((C27-0.392*C26),4)</f>
        <v>0</v>
      </c>
      <c r="L29" s="25">
        <f>ROUND((D27-0.392*D26),4)</f>
        <v>0</v>
      </c>
      <c r="M29" s="25">
        <f>ROUND((E27-0.392*E26),4)</f>
        <v>0</v>
      </c>
      <c r="N29" s="25">
        <f>ROUND((F27-0.392*F26),4)</f>
        <v>0</v>
      </c>
    </row>
    <row r="30" spans="1:14" ht="12.95" customHeight="1">
      <c r="A30" s="36" t="s">
        <v>39</v>
      </c>
      <c r="B30" s="71"/>
      <c r="C30" s="71"/>
      <c r="D30" s="71"/>
      <c r="E30" s="71"/>
      <c r="F30" s="71"/>
      <c r="G30" s="72" t="e">
        <f t="shared" ref="G30:G35" si="0">AVERAGE(B30,C30,D30,E30,F30)</f>
        <v>#DIV/0!</v>
      </c>
      <c r="I30" s="26" t="s">
        <v>40</v>
      </c>
      <c r="J30" s="29">
        <f>ROUND((B27+1.681*B26),4)</f>
        <v>0</v>
      </c>
      <c r="K30" s="29">
        <f>ROUND((C27+1.681*C26),4)</f>
        <v>0</v>
      </c>
      <c r="L30" s="29">
        <f>ROUND((D27+1.681*D26),4)</f>
        <v>0</v>
      </c>
      <c r="M30" s="29">
        <f>ROUND((E27+1.681*E26),4)</f>
        <v>0</v>
      </c>
      <c r="N30" s="29">
        <f>ROUND((F27+1.681*F26),4)</f>
        <v>0</v>
      </c>
    </row>
    <row r="31" spans="1:14" ht="12.95" customHeight="1">
      <c r="A31" s="38" t="s">
        <v>41</v>
      </c>
      <c r="B31" s="73"/>
      <c r="C31" s="73"/>
      <c r="D31" s="73"/>
      <c r="E31" s="73"/>
      <c r="F31" s="73"/>
      <c r="G31" s="74" t="e">
        <f t="shared" si="0"/>
        <v>#DIV/0!</v>
      </c>
      <c r="I31" s="26" t="s">
        <v>42</v>
      </c>
      <c r="J31" s="29">
        <f>ROUND((156.47/(160.8-7.22*B25+J29)),4)</f>
        <v>0.97309999999999997</v>
      </c>
      <c r="K31" s="29">
        <f>ROUND((156.47/(160.8-7.22*C25+K29)),4)</f>
        <v>0.97309999999999997</v>
      </c>
      <c r="L31" s="29">
        <f>ROUND((156.47/(160.8-7.22*D25+L29)),4)</f>
        <v>0.97309999999999997</v>
      </c>
      <c r="M31" s="29">
        <f>ROUND((156.47/(160.8-7.22*E25+M29)),4)</f>
        <v>0.97309999999999997</v>
      </c>
      <c r="N31" s="29">
        <f>ROUND((156.47/(160.8-7.22*F25+N29)),4)</f>
        <v>0.97309999999999997</v>
      </c>
    </row>
    <row r="32" spans="1:14" ht="12.95" customHeight="1">
      <c r="A32" s="38" t="s">
        <v>43</v>
      </c>
      <c r="B32" s="75"/>
      <c r="C32" s="75"/>
      <c r="D32" s="75"/>
      <c r="E32" s="75"/>
      <c r="F32" s="75"/>
      <c r="G32" s="76" t="e">
        <f t="shared" si="0"/>
        <v>#DIV/0!</v>
      </c>
      <c r="I32" s="26" t="s">
        <v>44</v>
      </c>
      <c r="J32" s="29">
        <f>ROUND((226.29/(99.15+211.9*B25-J30)),4)</f>
        <v>2.2823000000000002</v>
      </c>
      <c r="K32" s="29">
        <f>ROUND((226.29/(99.15+211.9*C25-K30)),4)</f>
        <v>2.2823000000000002</v>
      </c>
      <c r="L32" s="29">
        <f>ROUND((226.29/(99.15+211.9*D25-L30)),4)</f>
        <v>2.2823000000000002</v>
      </c>
      <c r="M32" s="29">
        <f>ROUND((226.29/(99.15+211.9*E25-M30)),4)</f>
        <v>2.2823000000000002</v>
      </c>
      <c r="N32" s="29">
        <f>ROUND((226.29/(99.15+211.9*F25-N30)),4)</f>
        <v>2.2823000000000002</v>
      </c>
    </row>
    <row r="33" spans="1:14" ht="12.95" customHeight="1">
      <c r="A33" s="38" t="s">
        <v>45</v>
      </c>
      <c r="B33" s="75" t="e">
        <f>1+(B21/(B20-B24))</f>
        <v>#DIV/0!</v>
      </c>
      <c r="C33" s="75" t="e">
        <f>1+(C21/(C20-C24))</f>
        <v>#DIV/0!</v>
      </c>
      <c r="D33" s="75" t="e">
        <f>1+(D21/(D20-D24))</f>
        <v>#DIV/0!</v>
      </c>
      <c r="E33" s="75" t="e">
        <f>1+(E21/(E20-E24))</f>
        <v>#DIV/0!</v>
      </c>
      <c r="F33" s="75" t="e">
        <f>1+(F21/(F20-F24))</f>
        <v>#DIV/0!</v>
      </c>
      <c r="G33" s="76" t="e">
        <f t="shared" si="0"/>
        <v>#DIV/0!</v>
      </c>
      <c r="I33" s="26" t="s">
        <v>46</v>
      </c>
      <c r="J33" s="30">
        <f>ROUND(((B20-B24)*J31),2)</f>
        <v>0</v>
      </c>
      <c r="K33" s="30">
        <f>ROUND(((C20-C24)*K31),2)</f>
        <v>0</v>
      </c>
      <c r="L33" s="30">
        <f>ROUND(((D20-D24)*L31),2)</f>
        <v>0</v>
      </c>
      <c r="M33" s="30">
        <f>ROUND(((E20-E24)*M31),2)</f>
        <v>0</v>
      </c>
      <c r="N33" s="30">
        <f>ROUND(((F20-F24)*N31),2)</f>
        <v>0</v>
      </c>
    </row>
    <row r="34" spans="1:14" ht="12.95" customHeight="1">
      <c r="A34" s="38" t="s">
        <v>47</v>
      </c>
      <c r="B34" s="75">
        <f>1-((B17-B18)/(B17+460))</f>
        <v>1</v>
      </c>
      <c r="C34" s="75">
        <f>1-((C17-C18)/(C17+460))</f>
        <v>1</v>
      </c>
      <c r="D34" s="75">
        <f>1-((D17-D18)/(D17+460))</f>
        <v>1</v>
      </c>
      <c r="E34" s="75">
        <f>1-((E17-E18)/(E17+460))</f>
        <v>1</v>
      </c>
      <c r="F34" s="75">
        <f>1-((F17-F18)/(F17+460))</f>
        <v>1</v>
      </c>
      <c r="G34" s="76">
        <f t="shared" si="0"/>
        <v>1</v>
      </c>
      <c r="I34" s="26" t="s">
        <v>48</v>
      </c>
      <c r="J34" s="30">
        <f>ROUND(((B18+460)*J32-460),2)</f>
        <v>589.86</v>
      </c>
      <c r="K34" s="30">
        <f>ROUND(((C18+460)*K32-460),2)</f>
        <v>589.86</v>
      </c>
      <c r="L34" s="30">
        <f>ROUND(((D18+460)*L32-460),2)</f>
        <v>589.86</v>
      </c>
      <c r="M34" s="30">
        <f>ROUND(((E18+460)*M32-460),2)</f>
        <v>589.86</v>
      </c>
      <c r="N34" s="30">
        <f>ROUND(((F18+460)*N32-460),2)</f>
        <v>589.86</v>
      </c>
    </row>
    <row r="35" spans="1:14" ht="12.95" customHeight="1">
      <c r="A35" s="38" t="s">
        <v>49</v>
      </c>
      <c r="B35" s="75"/>
      <c r="C35" s="75"/>
      <c r="D35" s="75"/>
      <c r="E35" s="75"/>
      <c r="F35" s="75"/>
      <c r="G35" s="76" t="e">
        <f t="shared" si="0"/>
        <v>#DIV/0!</v>
      </c>
      <c r="I35" s="26" t="s">
        <v>50</v>
      </c>
      <c r="J35" s="31">
        <f>(J33+14.7)/1000</f>
        <v>1.47E-2</v>
      </c>
      <c r="K35" s="31">
        <f>(K33+14.7)/1000</f>
        <v>1.47E-2</v>
      </c>
      <c r="L35" s="31">
        <f>(L33+14.7)/1000</f>
        <v>1.47E-2</v>
      </c>
      <c r="M35" s="31">
        <f>(M33+14.7)/1000</f>
        <v>1.47E-2</v>
      </c>
      <c r="N35" s="31">
        <f>(N33+14.7)/1000</f>
        <v>1.47E-2</v>
      </c>
    </row>
    <row r="36" spans="1:14" ht="12.95" customHeight="1">
      <c r="A36" s="38" t="s">
        <v>51</v>
      </c>
      <c r="B36" s="77"/>
      <c r="C36" s="77"/>
      <c r="D36" s="77"/>
      <c r="E36" s="77"/>
      <c r="F36" s="77"/>
      <c r="G36" s="74" t="e">
        <f>AVERAGE(B36,C36,D36,E36)</f>
        <v>#DIV/0!</v>
      </c>
      <c r="I36" s="26" t="s">
        <v>52</v>
      </c>
      <c r="J36" s="29">
        <f>(J34+460)/500</f>
        <v>2.0997200000000005</v>
      </c>
      <c r="K36" s="29">
        <f>(K34+460)/500</f>
        <v>2.0997200000000005</v>
      </c>
      <c r="L36" s="29">
        <f>(L34+460)/500</f>
        <v>2.0997200000000005</v>
      </c>
      <c r="M36" s="29">
        <f>(M34+460)/500</f>
        <v>2.0997200000000005</v>
      </c>
      <c r="N36" s="29">
        <f>(N34+460)/500</f>
        <v>2.0997200000000005</v>
      </c>
    </row>
    <row r="37" spans="1:14" ht="12.95" customHeight="1">
      <c r="A37" s="38" t="s">
        <v>53</v>
      </c>
      <c r="B37" s="78">
        <f>(B17+460)*J32-460</f>
        <v>589.85800000000017</v>
      </c>
      <c r="C37" s="78">
        <f>(C17+460)*K32-460</f>
        <v>589.85800000000017</v>
      </c>
      <c r="D37" s="78">
        <f>(D17+460)*L32-460</f>
        <v>589.85800000000017</v>
      </c>
      <c r="E37" s="78">
        <f>(E17+460)*M32-460</f>
        <v>589.85800000000017</v>
      </c>
      <c r="F37" s="78">
        <f>(F17+460)*N32-460</f>
        <v>589.85800000000017</v>
      </c>
      <c r="G37" s="74">
        <f>AVERAGE(B37,C37,D37,E37)</f>
        <v>589.85800000000017</v>
      </c>
      <c r="I37" s="26" t="s">
        <v>54</v>
      </c>
      <c r="J37" s="31">
        <f>0.0330378*J36^(-2)-0.0221323*J36^(-3)+0.0161353*J36^(-5)</f>
        <v>5.4981068943205837E-3</v>
      </c>
      <c r="K37" s="31">
        <f>0.0330378*K36^(-2)-0.0221323*K36^(-3)+0.0161353*K36^(-5)</f>
        <v>5.4981068943205837E-3</v>
      </c>
      <c r="L37" s="31">
        <f>0.0330378*L36^(-2)-0.0221323*L36^(-3)+0.0161353*L36^(-5)</f>
        <v>5.4981068943205837E-3</v>
      </c>
      <c r="M37" s="31">
        <f>0.0330378*M36^(-2)-0.0221323*M36^(-3)+0.0161353*M36^(-5)</f>
        <v>5.4981068943205837E-3</v>
      </c>
      <c r="N37" s="31">
        <f>0.0330378*N36^(-2)-0.0221323*N36^(-3)+0.0161353*N36^(-5)</f>
        <v>5.4981068943205837E-3</v>
      </c>
    </row>
    <row r="38" spans="1:14" ht="12.95" customHeight="1">
      <c r="A38" s="37" t="s">
        <v>55</v>
      </c>
      <c r="B38" s="79"/>
      <c r="C38" s="79"/>
      <c r="D38" s="79"/>
      <c r="E38" s="79"/>
      <c r="F38" s="79"/>
      <c r="G38" s="80" t="e">
        <f>AVERAGE(B38,C38,D38,E38,F38)</f>
        <v>#DIV/0!</v>
      </c>
      <c r="I38" s="26" t="s">
        <v>56</v>
      </c>
      <c r="J38" s="31">
        <f>(0.265827*J36^(-2)+0.0457697*J36^(-4)-0.133185*J36^(-1))/J37</f>
        <v>-0.14202957132765617</v>
      </c>
      <c r="K38" s="31">
        <f>(0.265827*K36^(-2)+0.0457697*K36^(-4)-0.133185*K36^(-1))/K37</f>
        <v>-0.14202957132765617</v>
      </c>
      <c r="L38" s="31">
        <f>(0.265827*L36^(-2)+0.0457697*L36^(-4)-0.133185*L36^(-1))/L37</f>
        <v>-0.14202957132765617</v>
      </c>
      <c r="M38" s="31">
        <f>(0.265827*M36^(-2)+0.0457697*M36^(-4)-0.133185*M36^(-1))/M37</f>
        <v>-0.14202957132765617</v>
      </c>
      <c r="N38" s="31">
        <f>(0.265827*N36^(-2)+0.0457697*N36^(-4)-0.133185*N36^(-1))/N37</f>
        <v>-0.14202957132765617</v>
      </c>
    </row>
    <row r="39" spans="1:14" s="8" customFormat="1" ht="3.95" customHeight="1">
      <c r="I39" s="27"/>
    </row>
    <row r="40" spans="1:14" ht="12.95" customHeight="1">
      <c r="A40" s="50" t="s">
        <v>57</v>
      </c>
      <c r="B40" s="41"/>
      <c r="C40" s="41"/>
      <c r="D40" s="41"/>
      <c r="E40" s="41"/>
      <c r="F40" s="41"/>
      <c r="G40" s="42"/>
      <c r="I40" s="26" t="s">
        <v>13</v>
      </c>
      <c r="J40" s="31">
        <f>(3-J37*J38^2)/(9*J37*J35^2)</f>
        <v>280552.95052875666</v>
      </c>
      <c r="K40" s="31">
        <f>(3-K37*K38^2)/(9*K37*K35^2)</f>
        <v>280552.95052875666</v>
      </c>
      <c r="L40" s="31">
        <f>(3-L37*L38^2)/(9*L37*L35^2)</f>
        <v>280552.95052875666</v>
      </c>
      <c r="M40" s="31">
        <f>(3-M37*M38^2)/(9*M37*M35^2)</f>
        <v>280552.95052875666</v>
      </c>
      <c r="N40" s="31">
        <f>(3-N37*N38^2)/(9*N37*N35^2)</f>
        <v>280552.95052875666</v>
      </c>
    </row>
    <row r="41" spans="1:14" ht="12.95" customHeight="1">
      <c r="A41" s="36" t="s">
        <v>58</v>
      </c>
      <c r="B41" s="81" t="str">
        <f>IF(B31="","",(100*B31*B35)/(B13*B30*B38*B33*B34*B32))</f>
        <v/>
      </c>
      <c r="C41" s="81" t="str">
        <f>IF(C31="","",(100*C31*C35)/(C13*C30*C38*C33*C34*C32))</f>
        <v/>
      </c>
      <c r="D41" s="81" t="str">
        <f>IF(D31="","",(100*D31*D35)/(D13*D30*D38*D33*D34*D32))</f>
        <v/>
      </c>
      <c r="E41" s="81" t="str">
        <f>IF(E31="","",(100*E31*E35)/(E13*E30*E38*E33*E34*E32))</f>
        <v/>
      </c>
      <c r="F41" s="81" t="str">
        <f>IF(F31="","",(100*F31*F35)/(F13*F30*F38*F33*F34*F32))</f>
        <v/>
      </c>
      <c r="G41" s="72" t="e">
        <f>AVERAGE(B41,C41,D41,E41,F41)</f>
        <v>#DIV/0!</v>
      </c>
      <c r="I41" s="26" t="s">
        <v>59</v>
      </c>
      <c r="J41" s="31">
        <f>1-0.00075*(J35^2.3)*(2-EXP(-20*(1.09-J36)))-(1.317*(1.09-J36)^4*J35*(1.69-J35^2))</f>
        <v>27.894213530559739</v>
      </c>
      <c r="K41" s="31">
        <f>1-0.00075*(K35^2.3)*(2-EXP(-20*(1.09-K36)))-(1.317*(1.09-K36)^4*K35*(1.69-K35^2))</f>
        <v>27.894213530559739</v>
      </c>
      <c r="L41" s="31">
        <f>1-0.00075*(L35^2.3)*(2-EXP(-20*(1.09-L36)))-(1.317*(1.09-L36)^4*L35*(1.69-L35^2))</f>
        <v>27.894213530559739</v>
      </c>
      <c r="M41" s="31">
        <f>1-0.00075*(M35^2.3)*(2-EXP(-20*(1.09-M36)))-(1.317*(1.09-M36)^4*M35*(1.69-M35^2))</f>
        <v>27.894213530559739</v>
      </c>
      <c r="N41" s="31">
        <f>1-0.00075*(N35^2.3)*(2-EXP(-20*(1.09-N36)))-(1.317*(1.09-N36)^4*N35*(1.69-N35^2))</f>
        <v>27.894213530559739</v>
      </c>
    </row>
    <row r="42" spans="1:14" ht="12.95" customHeight="1">
      <c r="A42" s="38" t="s">
        <v>60</v>
      </c>
      <c r="B42" s="77" t="str">
        <f>IF(B31="","",(100/B41)*100)</f>
        <v/>
      </c>
      <c r="C42" s="77" t="str">
        <f>IF(C31="","",(100/C41)*100)</f>
        <v/>
      </c>
      <c r="D42" s="77" t="str">
        <f>IF(D31="","",(100/D41)*100)</f>
        <v/>
      </c>
      <c r="E42" s="77" t="str">
        <f>IF(E31="","",(100/E41)*100)</f>
        <v/>
      </c>
      <c r="F42" s="77" t="str">
        <f>IF(F31="","",(100/F41)*100)</f>
        <v/>
      </c>
      <c r="G42" s="74" t="e">
        <f>AVERAGE(B42,C42,D42,E42,F42)</f>
        <v>#DIV/0!</v>
      </c>
      <c r="I42" s="26" t="s">
        <v>61</v>
      </c>
      <c r="J42" s="31">
        <f>(9*J38-2*J37*J38^3)/54/J37/J35^3-J41/2/J37/J35^2</f>
        <v>-13094490.415576851</v>
      </c>
      <c r="K42" s="31">
        <f>(9*K38-2*K37*K38^3)/54/K37/K35^3-K41/2/K37/K35^2</f>
        <v>-13094490.415576851</v>
      </c>
      <c r="L42" s="31">
        <f>(9*L38-2*L37*L38^3)/54/L37/L35^3-L41/2/L37/L35^2</f>
        <v>-13094490.415576851</v>
      </c>
      <c r="M42" s="31">
        <f>(9*M38-2*M37*M38^3)/54/M37/M35^3-M41/2/M37/M35^2</f>
        <v>-13094490.415576851</v>
      </c>
      <c r="N42" s="31">
        <f>(9*N38-2*N37*N38^3)/54/N37/N35^3-N41/2/N37/N35^2</f>
        <v>-13094490.415576851</v>
      </c>
    </row>
    <row r="43" spans="1:14" ht="12.95" customHeight="1">
      <c r="A43" s="38" t="s">
        <v>62</v>
      </c>
      <c r="B43" s="77" t="str">
        <f>IF(B31="","",(B13*B30*B38*B33*B34*B32)/B35)</f>
        <v/>
      </c>
      <c r="C43" s="77" t="str">
        <f>IF(C31="","",(C13*C30*C38*C33*C34*C32)/C35)</f>
        <v/>
      </c>
      <c r="D43" s="77" t="str">
        <f>IF(D31="","",(D13*D30*D38*D33*D34*D32)/D35)</f>
        <v/>
      </c>
      <c r="E43" s="77" t="str">
        <f>IF(E31="","",(E13*E30*E38*E33*E34*E32)/E35)</f>
        <v/>
      </c>
      <c r="F43" s="77" t="str">
        <f>IF(F31="","",(F13*F30*F38*F33*F34*F32)/F35)</f>
        <v/>
      </c>
      <c r="G43" s="74" t="e">
        <f>AVERAGE(B43,C43,D43,E43,F43)</f>
        <v>#DIV/0!</v>
      </c>
      <c r="I43" s="26" t="s">
        <v>14</v>
      </c>
      <c r="J43" s="31">
        <f>(J42+SQRT(J42^2+J40^3))^(1/3)</f>
        <v>514.36029195732897</v>
      </c>
      <c r="K43" s="31">
        <f>(K42+SQRT(K42^2+K40^3))^(1/3)</f>
        <v>514.36029195732897</v>
      </c>
      <c r="L43" s="31">
        <f>(L42+SQRT(L42^2+L40^3))^(1/3)</f>
        <v>514.36029195732897</v>
      </c>
      <c r="M43" s="31">
        <f>(M42+SQRT(M42^2+M40^3))^(1/3)</f>
        <v>514.36029195732897</v>
      </c>
      <c r="N43" s="31">
        <f>(N42+SQRT(N42^2+N40^3))^(1/3)</f>
        <v>514.36029195732897</v>
      </c>
    </row>
    <row r="44" spans="1:14" ht="12.95" customHeight="1">
      <c r="A44" s="38" t="s">
        <v>63</v>
      </c>
      <c r="B44" s="77" t="str">
        <f>IF(B31="","",(B43-B31)*100/B31)</f>
        <v/>
      </c>
      <c r="C44" s="77" t="str">
        <f>IF(C31="","",(C43-C31)*100/C31)</f>
        <v/>
      </c>
      <c r="D44" s="77" t="str">
        <f>IF(D31="","",(D43-D31)*100/D31)</f>
        <v/>
      </c>
      <c r="E44" s="77" t="str">
        <f>IF(E31="","",(E43-E31)*100/E31)</f>
        <v/>
      </c>
      <c r="F44" s="77" t="str">
        <f>IF(F31="","",(F43-F31)*100/F31)</f>
        <v/>
      </c>
      <c r="G44" s="74" t="e">
        <f>AVERAGE(B44,C44,D44,E44,F44)</f>
        <v>#DIV/0!</v>
      </c>
      <c r="I44" s="28" t="s">
        <v>55</v>
      </c>
      <c r="J44" s="32">
        <f>ROUND(SQRT(J40/J43-J43+J38/3/J35)/(1+(0.00132/J36^3.25)),4)</f>
        <v>5.2775999999999996</v>
      </c>
      <c r="K44" s="32">
        <f>ROUND(SQRT(K40/K43-K43+K38/3/K35)/(1+(0.00132/K36^3.25)),4)</f>
        <v>5.2775999999999996</v>
      </c>
      <c r="L44" s="32">
        <f>ROUND(SQRT(L40/L43-L43+L38/3/L35)/(1+(0.00132/L36^3.25)),4)</f>
        <v>5.2775999999999996</v>
      </c>
      <c r="M44" s="32">
        <f>ROUND(SQRT(M40/M43-M43+M38/3/M35)/(1+(0.00132/M36^3.25)),4)</f>
        <v>5.2775999999999996</v>
      </c>
      <c r="N44" s="32">
        <f>ROUND(SQRT(N40/N43-N43+N38/3/N35)/(1+(0.00132/N36^3.25)),4)</f>
        <v>5.2775999999999996</v>
      </c>
    </row>
    <row r="45" spans="1:14" ht="12.95" customHeight="1">
      <c r="A45" s="37" t="s">
        <v>64</v>
      </c>
      <c r="B45" s="79" t="str">
        <f>IF(B31="","",(100-B44)/100)</f>
        <v/>
      </c>
      <c r="C45" s="79" t="str">
        <f>IF(C31="","",(100-C44)/100)</f>
        <v/>
      </c>
      <c r="D45" s="79" t="str">
        <f>IF(D31="","",(100-D44)/100)</f>
        <v/>
      </c>
      <c r="E45" s="79" t="str">
        <f>IF(E31="","",(100-E44)/100)</f>
        <v/>
      </c>
      <c r="F45" s="79" t="str">
        <f>IF(F31="","",(100-F44)/100)</f>
        <v/>
      </c>
      <c r="G45" s="82" t="e">
        <f>AVERAGE(B45,C45,D45,E45,F45)</f>
        <v>#DIV/0!</v>
      </c>
      <c r="I45"/>
      <c r="J45"/>
    </row>
    <row r="46" spans="1:14" s="8" customFormat="1" ht="2.1" customHeight="1"/>
    <row r="47" spans="1:14" ht="12.95" customHeight="1">
      <c r="A47" s="9" t="s">
        <v>65</v>
      </c>
      <c r="B47" s="40"/>
      <c r="C47" s="41"/>
      <c r="D47" s="91"/>
      <c r="E47" s="92"/>
      <c r="F47" s="93"/>
      <c r="G47" s="94"/>
    </row>
    <row r="48" spans="1:14" ht="12.95" customHeight="1">
      <c r="A48" s="13" t="s">
        <v>66</v>
      </c>
      <c r="B48" s="14" t="s">
        <v>67</v>
      </c>
      <c r="C48" s="15"/>
      <c r="D48" s="112"/>
      <c r="E48" s="113"/>
      <c r="F48" s="113"/>
      <c r="G48" s="114"/>
    </row>
    <row r="49" spans="1:11" ht="12.95" customHeight="1">
      <c r="A49" s="17" t="s">
        <v>68</v>
      </c>
      <c r="B49" s="18" t="s">
        <v>69</v>
      </c>
      <c r="C49" s="8"/>
      <c r="D49" s="112"/>
      <c r="E49" s="113"/>
      <c r="F49" s="113"/>
      <c r="G49" s="114"/>
    </row>
    <row r="50" spans="1:11" ht="12.95" customHeight="1">
      <c r="A50" s="17" t="s">
        <v>70</v>
      </c>
      <c r="B50" s="18" t="s">
        <v>71</v>
      </c>
      <c r="C50" s="8"/>
      <c r="D50" s="112"/>
      <c r="E50" s="113"/>
      <c r="F50" s="113"/>
      <c r="G50" s="114"/>
    </row>
    <row r="51" spans="1:11" ht="12.95" customHeight="1">
      <c r="A51" s="17" t="s">
        <v>72</v>
      </c>
      <c r="B51" s="18" t="s">
        <v>73</v>
      </c>
      <c r="C51" s="8"/>
      <c r="D51" s="112"/>
      <c r="E51" s="113"/>
      <c r="F51" s="113"/>
      <c r="G51" s="114"/>
    </row>
    <row r="52" spans="1:11" ht="12.95" customHeight="1">
      <c r="A52" s="17" t="s">
        <v>74</v>
      </c>
      <c r="B52" s="8" t="s">
        <v>75</v>
      </c>
      <c r="C52" s="8"/>
      <c r="D52" s="95"/>
      <c r="E52" s="96"/>
      <c r="F52" s="96"/>
      <c r="G52" s="97"/>
    </row>
    <row r="53" spans="1:11" ht="20.100000000000001" customHeight="1">
      <c r="A53" s="16" t="s">
        <v>76</v>
      </c>
      <c r="B53" s="19"/>
      <c r="C53" s="19"/>
      <c r="D53" s="19"/>
      <c r="E53" s="19"/>
      <c r="F53" s="19"/>
      <c r="G53" s="20"/>
    </row>
    <row r="54" spans="1:11" ht="3" customHeight="1">
      <c r="A54" s="21"/>
      <c r="B54" s="22"/>
      <c r="C54" s="22"/>
      <c r="D54" s="22"/>
      <c r="E54" s="22"/>
      <c r="F54" s="22"/>
      <c r="G54" s="23"/>
    </row>
    <row r="55" spans="1:11" ht="11.25" thickBot="1"/>
    <row r="56" spans="1:11" ht="13.5" customHeight="1" thickTop="1" thickBot="1">
      <c r="A56" s="89" t="s">
        <v>99</v>
      </c>
      <c r="B56" s="100" t="s">
        <v>102</v>
      </c>
      <c r="C56" s="101"/>
      <c r="D56" s="101"/>
      <c r="E56" s="101"/>
      <c r="F56" s="101"/>
      <c r="G56" s="102"/>
    </row>
    <row r="57" spans="1:11" ht="11.25" thickTop="1">
      <c r="A57" s="90"/>
      <c r="B57" s="85"/>
      <c r="C57" s="86"/>
      <c r="D57" s="85"/>
      <c r="E57" s="86"/>
      <c r="F57" s="85"/>
      <c r="G57" s="86"/>
    </row>
    <row r="58" spans="1:11">
      <c r="A58" s="90"/>
      <c r="B58" s="85"/>
      <c r="C58" s="86"/>
      <c r="D58" s="85"/>
      <c r="E58" s="86"/>
      <c r="F58" s="85"/>
      <c r="G58" s="86"/>
    </row>
    <row r="59" spans="1:11">
      <c r="A59" s="90"/>
      <c r="B59" s="85"/>
      <c r="C59" s="86"/>
      <c r="D59" s="85"/>
      <c r="E59" s="86"/>
      <c r="F59" s="85"/>
      <c r="G59" s="86"/>
    </row>
    <row r="60" spans="1:11">
      <c r="A60" s="90"/>
      <c r="B60" s="85"/>
      <c r="C60" s="86"/>
      <c r="D60" s="85"/>
      <c r="E60" s="86"/>
      <c r="F60" s="85"/>
      <c r="G60" s="86"/>
    </row>
    <row r="61" spans="1:11">
      <c r="A61" s="90"/>
      <c r="B61" s="85"/>
      <c r="C61" s="86"/>
      <c r="D61" s="85"/>
      <c r="E61" s="86"/>
      <c r="F61" s="85"/>
      <c r="G61" s="86"/>
    </row>
    <row r="62" spans="1:11" ht="13.5" customHeight="1" thickBot="1">
      <c r="A62" s="88" t="s">
        <v>101</v>
      </c>
      <c r="B62" s="98" t="s">
        <v>101</v>
      </c>
      <c r="C62" s="99"/>
      <c r="D62" s="98" t="s">
        <v>101</v>
      </c>
      <c r="E62" s="99"/>
      <c r="F62" s="98" t="s">
        <v>101</v>
      </c>
      <c r="G62" s="99"/>
      <c r="H62" s="87"/>
      <c r="I62" s="84"/>
      <c r="J62" s="84"/>
      <c r="K62" s="84"/>
    </row>
    <row r="63" spans="1:11" ht="11.25" thickTop="1"/>
  </sheetData>
  <protectedRanges>
    <protectedRange sqref="U3:X3" name="Range2_1"/>
    <protectedRange sqref="A62:I62" name="Range10_1"/>
  </protectedRanges>
  <mergeCells count="16">
    <mergeCell ref="A1:A5"/>
    <mergeCell ref="C2:G2"/>
    <mergeCell ref="C3:G3"/>
    <mergeCell ref="C4:G4"/>
    <mergeCell ref="C5:F5"/>
    <mergeCell ref="B62:C62"/>
    <mergeCell ref="D62:E62"/>
    <mergeCell ref="F62:G62"/>
    <mergeCell ref="B56:G56"/>
    <mergeCell ref="B1:G1"/>
    <mergeCell ref="D48:D51"/>
    <mergeCell ref="E48:E51"/>
    <mergeCell ref="F48:F51"/>
    <mergeCell ref="G48:G51"/>
    <mergeCell ref="F7:G7"/>
    <mergeCell ref="G12:G21"/>
  </mergeCells>
  <phoneticPr fontId="0" type="noConversion"/>
  <dataValidations count="1">
    <dataValidation type="list" allowBlank="1" showInputMessage="1" showErrorMessage="1" sqref="B12:F12">
      <formula1>$K$12:$K$16</formula1>
    </dataValidation>
  </dataValidations>
  <printOptions horizontalCentered="1" verticalCentered="1"/>
  <pageMargins left="0.74803149606299213" right="0.51181102362204722" top="0.51181102362204722" bottom="0.51181102362204722" header="0.51181102362204722" footer="0.43307086614173229"/>
  <pageSetup scale="94" orientation="portrait" horizontalDpi="300" verticalDpi="300" r:id="rId1"/>
  <headerFooter alignWithMargins="0">
    <oddFooter xml:space="preserve">&amp;LDocumento al que pertenece: &amp;"Geneva,Cursiva"PO.013 Sistemas Electrónicos de Medición, Control y Seguridad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Z10"/>
  <sheetViews>
    <sheetView workbookViewId="0">
      <selection activeCell="X19" sqref="X19"/>
    </sheetView>
  </sheetViews>
  <sheetFormatPr baseColWidth="10" defaultRowHeight="12.75"/>
  <cols>
    <col min="1" max="17" width="3.28515625" customWidth="1"/>
    <col min="18" max="18" width="3.5703125" customWidth="1"/>
    <col min="19" max="52" width="3.28515625" customWidth="1"/>
  </cols>
  <sheetData>
    <row r="4" spans="1:52" ht="13.5" thickBot="1"/>
    <row r="5" spans="1:52" ht="16.5" thickTop="1" thickBot="1">
      <c r="A5" s="121" t="s">
        <v>99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1" t="s">
        <v>100</v>
      </c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3"/>
    </row>
    <row r="6" spans="1:52" ht="13.5" thickTop="1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</row>
    <row r="7" spans="1:52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</row>
    <row r="8" spans="1:52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</row>
    <row r="9" spans="1:52" ht="13.5" thickBot="1">
      <c r="A9" s="98" t="s">
        <v>101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98" t="s">
        <v>101</v>
      </c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98" t="s">
        <v>101</v>
      </c>
      <c r="X9" s="120"/>
      <c r="Y9" s="120"/>
      <c r="Z9" s="120"/>
      <c r="AA9" s="120"/>
      <c r="AB9" s="120"/>
      <c r="AC9" s="120"/>
      <c r="AD9" s="120"/>
      <c r="AE9" s="120"/>
      <c r="AF9" s="120"/>
      <c r="AG9" s="98" t="s">
        <v>101</v>
      </c>
      <c r="AH9" s="120"/>
      <c r="AI9" s="120"/>
      <c r="AJ9" s="120"/>
      <c r="AK9" s="120"/>
      <c r="AL9" s="120"/>
      <c r="AM9" s="120"/>
      <c r="AN9" s="120"/>
      <c r="AO9" s="120"/>
      <c r="AP9" s="120"/>
      <c r="AQ9" s="98" t="s">
        <v>101</v>
      </c>
      <c r="AR9" s="120"/>
      <c r="AS9" s="120"/>
      <c r="AT9" s="120"/>
      <c r="AU9" s="120"/>
      <c r="AV9" s="120"/>
      <c r="AW9" s="120"/>
      <c r="AX9" s="120"/>
      <c r="AY9" s="120"/>
      <c r="AZ9" s="99"/>
    </row>
    <row r="10" spans="1:52" ht="13.5" thickTop="1"/>
  </sheetData>
  <protectedRanges>
    <protectedRange sqref="A8:A9 L9 B7:I9 J7:J8 W9 AG9 AQ9 L8:U8 W8:AZ8" name="Range10_1"/>
    <protectedRange sqref="AW9:AZ9 R9:V9 AM9:AP9 AC9:AF9 R7:AB7" name="Range11_1"/>
    <protectedRange sqref="AJ7:AS7" name="Range12_1"/>
  </protectedRanges>
  <mergeCells count="17">
    <mergeCell ref="A5:K5"/>
    <mergeCell ref="L5:AZ5"/>
    <mergeCell ref="A6:K7"/>
    <mergeCell ref="L6:V7"/>
    <mergeCell ref="W6:AF7"/>
    <mergeCell ref="AG6:AP7"/>
    <mergeCell ref="AQ6:AZ7"/>
    <mergeCell ref="A9:K9"/>
    <mergeCell ref="L9:V9"/>
    <mergeCell ref="W9:AF9"/>
    <mergeCell ref="AG9:AP9"/>
    <mergeCell ref="AQ9:AZ9"/>
    <mergeCell ref="A8:K8"/>
    <mergeCell ref="L8:V8"/>
    <mergeCell ref="W8:AF8"/>
    <mergeCell ref="AG8:AP8"/>
    <mergeCell ref="AQ8:AZ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Fecha_x0020_de_x0020_Vigencia xmlns="dd186dba-4cc2-440e-acad-63642534838a">2011-10-10T04:00:00+00:00</Fecha_x0020_de_x0020_Vigencia>
    <Revision xmlns="dd186dba-4cc2-440e-acad-63642534838a">4</Revisio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9418A4F52EE44B0E34D7961D844D9" ma:contentTypeVersion="3" ma:contentTypeDescription="Crear nuevo documento." ma:contentTypeScope="" ma:versionID="991251dcf188a38514ab1b6212416b91">
  <xsd:schema xmlns:xsd="http://www.w3.org/2001/XMLSchema" xmlns:xs="http://www.w3.org/2001/XMLSchema" xmlns:p="http://schemas.microsoft.com/office/2006/metadata/properties" xmlns:ns2="dd186dba-4cc2-440e-acad-63642534838a" targetNamespace="http://schemas.microsoft.com/office/2006/metadata/properties" ma:root="true" ma:fieldsID="b7b6f7f3e19a78e53a0f79bb696e26b8" ns2:_="">
    <xsd:import namespace="dd186dba-4cc2-440e-acad-63642534838a"/>
    <xsd:element name="properties">
      <xsd:complexType>
        <xsd:sequence>
          <xsd:element name="documentManagement">
            <xsd:complexType>
              <xsd:all>
                <xsd:element ref="ns2:Revision" minOccurs="0"/>
                <xsd:element ref="ns2:Fecha_x0020_de_x0020_Vigenci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186dba-4cc2-440e-acad-63642534838a" elementFormDefault="qualified">
    <xsd:import namespace="http://schemas.microsoft.com/office/2006/documentManagement/types"/>
    <xsd:import namespace="http://schemas.microsoft.com/office/infopath/2007/PartnerControls"/>
    <xsd:element name="Revision" ma:index="8" nillable="true" ma:displayName="Revision" ma:internalName="Revision">
      <xsd:simpleType>
        <xsd:restriction base="dms:Number"/>
      </xsd:simpleType>
    </xsd:element>
    <xsd:element name="Fecha_x0020_de_x0020_Vigencia" ma:index="9" nillable="true" ma:displayName="Fecha de Vigencia" ma:format="DateOnly" ma:internalName="Fecha_x0020_de_x0020_Vigenci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Nombre del Document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92310C-6BE0-44C8-A074-1BC906BF5A6C}"/>
</file>

<file path=customXml/itemProps2.xml><?xml version="1.0" encoding="utf-8"?>
<ds:datastoreItem xmlns:ds="http://schemas.openxmlformats.org/officeDocument/2006/customXml" ds:itemID="{AFDE802B-242A-4D3F-975B-97A1AA4DDABA}"/>
</file>

<file path=customXml/itemProps3.xml><?xml version="1.0" encoding="utf-8"?>
<ds:datastoreItem xmlns:ds="http://schemas.openxmlformats.org/officeDocument/2006/customXml" ds:itemID="{0C8E35F3-F936-4012-8480-0C7CCBC156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FO.068</vt:lpstr>
      <vt:lpstr>Hoja1</vt:lpstr>
      <vt:lpstr>FO.068!Área_de_impresión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Registro de Pruebas de Flujo Crítico en Medidores</dc:title>
  <dc:creator>Jefatura Técnica</dc:creator>
  <cp:lastModifiedBy>dmoraes</cp:lastModifiedBy>
  <cp:lastPrinted>2011-04-20T17:54:58Z</cp:lastPrinted>
  <dcterms:created xsi:type="dcterms:W3CDTF">2000-03-22T16:40:25Z</dcterms:created>
  <dcterms:modified xsi:type="dcterms:W3CDTF">2011-10-13T15:31:17Z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0x0101005509418A4F52EE44B0E34D7961D844D9</vt:lpwstr>
  </property>
</Properties>
</file>